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<sst xmlns="http://schemas.openxmlformats.org/spreadsheetml/2006/main" count="149" uniqueCount="114">
  <si>
    <t>FUEGO Heat-Sensing Mission Comparison</t>
  </si>
  <si>
    <t>inputs</t>
  </si>
  <si>
    <t xml:space="preserve"> </t>
  </si>
  <si>
    <t>M.Lampton 3 December 2013</t>
  </si>
  <si>
    <t>outputs</t>
  </si>
  <si>
    <t>ref 1: Dennison P.E., and Matheson,D.S., "Comparison of fire temperature..."Remote Sens. Envir. v.115 (2011)</t>
  </si>
  <si>
    <t>ref 2: Schmit, "ABI for GOES-R and beyond," Proc SPIE v.4895 (2003)</t>
  </si>
  <si>
    <t>ref 3: Fiete R.D., Optical Engineering v.38#7 1229-1240 (1999).</t>
  </si>
  <si>
    <t>ref 4: Kozlowski &amp; Kosonocky "Infrared Detector Arrays," Handbook of Optics, Third Ed., v2 ch33 (2008)</t>
  </si>
  <si>
    <t>ref 5: Lampton M., "FUEGO Airborne," 2nd Intl FUEGO Workshop, Berkeley (2014)</t>
  </si>
  <si>
    <t>ref 6: Sprafke, T., and Beletic, J.W., "IR FPAs for Space Applications," OPN (June 2008)</t>
  </si>
  <si>
    <t>WAVEBAND</t>
  </si>
  <si>
    <t>Wavelength λ, μm=</t>
  </si>
  <si>
    <t>Bandwidth Δλ, μm=</t>
  </si>
  <si>
    <t>Photon energy at this wavelength, J=</t>
  </si>
  <si>
    <t>SMALL (1MEGAWATT) FIRE</t>
  </si>
  <si>
    <r>
      <t>Area, m</t>
    </r>
    <r>
      <rPr>
        <rFont val="Calibri"/>
        <color rgb="FF000000"/>
        <sz val="12.0"/>
        <vertAlign val="superscript"/>
      </rPr>
      <t>2</t>
    </r>
    <r>
      <rPr>
        <rFont val="Calibri"/>
        <color rgb="FF000000"/>
        <sz val="12.0"/>
      </rPr>
      <t>=</t>
    </r>
  </si>
  <si>
    <t>Temperature, K=</t>
  </si>
  <si>
    <t>Emissivity, ε=</t>
  </si>
  <si>
    <r>
      <t>Gray body spectral radiance, W/m</t>
    </r>
    <r>
      <rPr>
        <rFont val="Calibri"/>
        <color rgb="FF000000"/>
        <sz val="12.0"/>
        <vertAlign val="superscript"/>
      </rPr>
      <t>2</t>
    </r>
    <r>
      <rPr>
        <rFont val="Calibri"/>
        <color rgb="FF000000"/>
        <sz val="12.0"/>
      </rPr>
      <t>.ster.μm=</t>
    </r>
  </si>
  <si>
    <t>Gray body spectral intensity, W/ster.μm=</t>
  </si>
  <si>
    <t>Gray body intensity in band, W/ster=</t>
  </si>
  <si>
    <t>Total Power, MW=</t>
  </si>
  <si>
    <t>BACKGROUND</t>
  </si>
  <si>
    <r>
      <t>NIGHT:  Warm Earth (300K, ε=1) spectral radiance, W/m</t>
    </r>
    <r>
      <rPr>
        <rFont val="Calibri"/>
        <color rgb="FF000000"/>
        <sz val="12.0"/>
        <vertAlign val="superscript"/>
      </rPr>
      <t>2</t>
    </r>
    <r>
      <rPr>
        <rFont val="Calibri"/>
        <color rgb="FF000000"/>
        <sz val="12.0"/>
      </rPr>
      <t>.ster.μm=</t>
    </r>
  </si>
  <si>
    <r>
      <t>DAY:  Noon sun (albedo=0.5) spectral radiance, W/m</t>
    </r>
    <r>
      <rPr>
        <rFont val="Calibri"/>
        <color rgb="FF000000"/>
        <sz val="12.0"/>
        <vertAlign val="superscript"/>
      </rPr>
      <t>2</t>
    </r>
    <r>
      <rPr>
        <rFont val="Calibri"/>
        <color rgb="FF000000"/>
        <sz val="12.0"/>
      </rPr>
      <t xml:space="preserve">.ster.μm= </t>
    </r>
  </si>
  <si>
    <t>MISSION</t>
  </si>
  <si>
    <t>Mission=</t>
  </si>
  <si>
    <t>Geostationary</t>
  </si>
  <si>
    <t>LEO</t>
  </si>
  <si>
    <t>Airborne</t>
  </si>
  <si>
    <t>Observing Mode=</t>
  </si>
  <si>
    <t>fixed target</t>
  </si>
  <si>
    <t>pushbroom</t>
  </si>
  <si>
    <t>Observing Altitude H, km=</t>
  </si>
  <si>
    <t>which is miles=</t>
  </si>
  <si>
    <t>Effective ground speed V, m/s=</t>
  </si>
  <si>
    <t>which is mph=</t>
  </si>
  <si>
    <t>Visits per day=</t>
  </si>
  <si>
    <t>continuous</t>
  </si>
  <si>
    <t>As needed</t>
  </si>
  <si>
    <t>OPTICS</t>
  </si>
  <si>
    <t>Optical aperture diameter D, m=</t>
  </si>
  <si>
    <t>Optical f/number giving good sampling =</t>
  </si>
  <si>
    <t>Net throughput including quantum efficiency=</t>
  </si>
  <si>
    <t>Diffraction limit angle λ/D, μrad=</t>
  </si>
  <si>
    <t>Optical focal length, m=</t>
  </si>
  <si>
    <t>Diffraction radius at focus, μm=</t>
  </si>
  <si>
    <t>Optical cutoff freq at focus, cycles/mm=</t>
  </si>
  <si>
    <t>Plate scale at nadir,  μm/km=</t>
  </si>
  <si>
    <t>SENSOR</t>
  </si>
  <si>
    <t>Technology =</t>
  </si>
  <si>
    <t>cooled MCT*</t>
  </si>
  <si>
    <t>uncooled VOX</t>
  </si>
  <si>
    <t>Pixel pitch p, μm=</t>
  </si>
  <si>
    <t>Number of pixels across track=</t>
  </si>
  <si>
    <t>Number of pixels along track =</t>
  </si>
  <si>
    <t>Frame rate, frames/sec=</t>
  </si>
  <si>
    <t>Full well diode capacity, Teledyne DI process, e/pixel=</t>
  </si>
  <si>
    <t>NA</t>
  </si>
  <si>
    <t>Read noise, Teledyne DI process, e_rms/pixel=</t>
  </si>
  <si>
    <t xml:space="preserve"> Noise Equivalent Bolometric Power, W=</t>
  </si>
  <si>
    <t>Dark internal rms noise/pixel, J=</t>
  </si>
  <si>
    <t>Jones specific detectivity D*, cm√Hz/W=</t>
  </si>
  <si>
    <t>typ 1E12</t>
  </si>
  <si>
    <t>*Cooled MCT assumes ideal 4π cold environment except for scene heat</t>
  </si>
  <si>
    <t>PERFORMANCE</t>
  </si>
  <si>
    <t>Plate scale at nadir, meters/pixel</t>
  </si>
  <si>
    <t>Pixels needed to span fire =</t>
  </si>
  <si>
    <t>Nadir ground swath per exposure, km=</t>
  </si>
  <si>
    <t>Update rate, images per day=</t>
  </si>
  <si>
    <t>downlink limit</t>
  </si>
  <si>
    <t>2 passes/day</t>
  </si>
  <si>
    <t>as needed</t>
  </si>
  <si>
    <r>
      <t>Fiete samples/FWHM = λ</t>
    </r>
    <r>
      <rPr>
        <rFont val="Wingdings"/>
        <b/>
        <color rgb="FF000000"/>
        <sz val="12.0"/>
      </rPr>
      <t></t>
    </r>
    <r>
      <rPr>
        <rFont val="Calibri"/>
        <b/>
        <color rgb="FF000000"/>
        <sz val="12.0"/>
      </rPr>
      <t>fnumber/p =</t>
    </r>
  </si>
  <si>
    <t>(we want to have approximately 2 samples per diffraction FWHM)</t>
  </si>
  <si>
    <t>Overload Tmax</t>
  </si>
  <si>
    <t>Fire power in band per pixel, W=</t>
  </si>
  <si>
    <t>Background photon power in band per pixel, W=</t>
  </si>
  <si>
    <t>Total (fire + bkg) photon rate per pixel, ph/sec=</t>
  </si>
  <si>
    <t>Maximum pixel exposure time for full well, sec=</t>
  </si>
  <si>
    <t>Motion Tmax</t>
  </si>
  <si>
    <t>Time in which vehicle ground motion is half a pixel, sec=</t>
  </si>
  <si>
    <t>Net Tmax</t>
  </si>
  <si>
    <t>Computed exposure time, sec=</t>
  </si>
  <si>
    <t>This exposure time limit is due to =</t>
  </si>
  <si>
    <t>overload</t>
  </si>
  <si>
    <t>motion</t>
  </si>
  <si>
    <t>Fire energy in band per pixel, J=</t>
  </si>
  <si>
    <t>Fire photons in band at pixel, ph/pix=</t>
  </si>
  <si>
    <t>Background energy in band per pixel, J=</t>
  </si>
  <si>
    <t>Background photons in pixel =</t>
  </si>
  <si>
    <t>Background photon shot noise = sqrt(Nphotons) =</t>
  </si>
  <si>
    <t>Total read and photon RMS noise in pixel, J=</t>
  </si>
  <si>
    <t>SNR in a single frame, single pixel =</t>
  </si>
  <si>
    <t>SNR in a single frame, coadded pixels =</t>
  </si>
  <si>
    <t>How many frames shall we coadd? =</t>
  </si>
  <si>
    <t>SIGNALTO NOISE RATIO</t>
  </si>
  <si>
    <t>Total SNR with coadded pixels and frames =</t>
  </si>
  <si>
    <t>NOISE CHECKS</t>
  </si>
  <si>
    <t>warm earth radiance, W/m2.ster=</t>
  </si>
  <si>
    <t>sun W/m2.ster=</t>
  </si>
  <si>
    <t>pixel solid angle Ω at f/5,ster=</t>
  </si>
  <si>
    <t>Ω at f/6, ster=</t>
  </si>
  <si>
    <t>plus heat leaks imperfect baffling, ster=</t>
  </si>
  <si>
    <t>pixel area, m2=</t>
  </si>
  <si>
    <t>power into pixel, W=</t>
  </si>
  <si>
    <t>exposure time, sec=</t>
  </si>
  <si>
    <t>energy into pixel, J=</t>
  </si>
  <si>
    <t>photons into pixel=</t>
  </si>
  <si>
    <t>sqrt(Nphotons)=</t>
  </si>
  <si>
    <t>Noise equivalent energy, J/pixel=</t>
  </si>
  <si>
    <t>Bolometric noise, J/pixel=</t>
  </si>
  <si>
    <t>total noise, J/pixel=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</si>
</sst>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0.0"/>
    <numFmt numFmtId="165" formatCode="0.0000"/>
    <numFmt numFmtId="166" formatCode="0.000"/>
  </numFmts>
  <fonts count="2">
    <font>
      <sz val="12.0"/>
      <color rgb="FF000000"/>
      <name val="Calibri"/>
    </font>
    <font>
      <b/>
      <sz val="12.0"/>
      <color rgb="FF000000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rgb="FFCCFFCC"/>
        <bgColor rgb="FFCCFFCC"/>
      </patternFill>
    </fill>
  </fills>
  <borders count="2">
    <border/>
    <border>
      <left/>
      <right/>
      <top/>
      <bottom/>
    </border>
  </borders>
  <cellStyleXfs count="1">
    <xf borderId="0" fillId="0" fontId="0" numFmtId="0" applyAlignment="1" applyFont="1"/>
  </cellStyleXfs>
  <cellXfs count="30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0" numFmtId="0" xfId="0" applyAlignment="1" applyBorder="1" applyFill="1" applyFont="1">
      <alignment horizontal="center"/>
    </xf>
    <xf borderId="0" fillId="0" fontId="0" numFmtId="0" xfId="0" applyAlignment="1" applyFont="1">
      <alignment horizontal="center"/>
    </xf>
    <xf borderId="1" fillId="3" fontId="0" numFmtId="0" xfId="0" applyAlignment="1" applyBorder="1" applyFill="1" applyFont="1">
      <alignment horizontal="center"/>
    </xf>
    <xf borderId="0" fillId="0" fontId="0" numFmtId="0" xfId="0" applyAlignment="1" applyFont="1">
      <alignment horizontal="left"/>
    </xf>
    <xf borderId="0" fillId="0" fontId="0" numFmtId="0" xfId="0" applyAlignment="1" applyFont="1">
      <alignment horizontal="right"/>
    </xf>
    <xf borderId="0" fillId="0" fontId="1" numFmtId="0" xfId="0" applyAlignment="1" applyFont="1">
      <alignment horizontal="right"/>
    </xf>
    <xf borderId="1" fillId="2" fontId="1" numFmtId="0" xfId="0" applyAlignment="1" applyBorder="1" applyFont="1">
      <alignment horizontal="center"/>
    </xf>
    <xf borderId="1" fillId="3" fontId="0" numFmtId="11" xfId="0" applyAlignment="1" applyBorder="1" applyFont="1" applyNumberFormat="1">
      <alignment horizontal="center"/>
    </xf>
    <xf borderId="1" fillId="3" fontId="0" numFmtId="1" xfId="0" applyAlignment="1" applyBorder="1" applyFont="1" applyNumberFormat="1">
      <alignment horizontal="center"/>
    </xf>
    <xf borderId="1" fillId="3" fontId="1" numFmtId="2" xfId="0" applyAlignment="1" applyBorder="1" applyFont="1" applyNumberFormat="1">
      <alignment horizontal="center"/>
    </xf>
    <xf borderId="0" fillId="0" fontId="0" numFmtId="11" xfId="0" applyAlignment="1" applyFont="1" applyNumberFormat="1">
      <alignment horizontal="center"/>
    </xf>
    <xf borderId="1" fillId="3" fontId="0" numFmtId="2" xfId="0" applyAlignment="1" applyBorder="1" applyFont="1" applyNumberFormat="1">
      <alignment horizontal="center"/>
    </xf>
    <xf borderId="1" fillId="2" fontId="0" numFmtId="1" xfId="0" applyAlignment="1" applyBorder="1" applyFont="1" applyNumberFormat="1">
      <alignment horizontal="center"/>
    </xf>
    <xf borderId="1" fillId="2" fontId="0" numFmtId="11" xfId="0" applyAlignment="1" applyBorder="1" applyFont="1" applyNumberFormat="1">
      <alignment horizontal="center"/>
    </xf>
    <xf borderId="0" fillId="0" fontId="0" numFmtId="0" xfId="0" applyFont="1"/>
    <xf borderId="1" fillId="3" fontId="1" numFmtId="1" xfId="0" applyAlignment="1" applyBorder="1" applyFont="1" applyNumberFormat="1">
      <alignment horizontal="center"/>
    </xf>
    <xf borderId="1" fillId="3" fontId="1" numFmtId="0" xfId="0" applyAlignment="1" applyBorder="1" applyFont="1">
      <alignment horizontal="center"/>
    </xf>
    <xf borderId="1" fillId="3" fontId="0" numFmtId="164" xfId="0" applyAlignment="1" applyBorder="1" applyFont="1" applyNumberFormat="1">
      <alignment horizontal="center"/>
    </xf>
    <xf borderId="1" fillId="3" fontId="1" numFmtId="164" xfId="0" applyAlignment="1" applyBorder="1" applyFont="1" applyNumberFormat="1">
      <alignment horizontal="center"/>
    </xf>
    <xf borderId="1" fillId="3" fontId="0" numFmtId="0" xfId="0" applyAlignment="1" applyBorder="1" applyFont="1">
      <alignment horizontal="left"/>
    </xf>
    <xf borderId="1" fillId="3" fontId="1" numFmtId="11" xfId="0" applyAlignment="1" applyBorder="1" applyFont="1" applyNumberFormat="1">
      <alignment horizontal="center"/>
    </xf>
    <xf borderId="1" fillId="3" fontId="0" numFmtId="165" xfId="0" applyAlignment="1" applyBorder="1" applyFont="1" applyNumberFormat="1">
      <alignment horizontal="center"/>
    </xf>
    <xf borderId="1" fillId="3" fontId="1" numFmtId="165" xfId="0" applyAlignment="1" applyBorder="1" applyFont="1" applyNumberFormat="1">
      <alignment horizontal="center"/>
    </xf>
    <xf borderId="1" fillId="3" fontId="1" numFmtId="166" xfId="0" applyAlignment="1" applyBorder="1" applyFont="1" applyNumberFormat="1">
      <alignment horizontal="center"/>
    </xf>
    <xf borderId="0" fillId="0" fontId="0" numFmtId="2" xfId="0" applyAlignment="1" applyFont="1" applyNumberFormat="1">
      <alignment horizontal="center"/>
    </xf>
    <xf borderId="0" fillId="0" fontId="0" numFmtId="165" xfId="0" applyAlignment="1" applyFont="1" applyNumberFormat="1">
      <alignment horizontal="center"/>
    </xf>
    <xf borderId="0" fillId="0" fontId="0" numFmtId="1" xfId="0" applyAlignment="1" applyFont="1" applyNumberFormat="1">
      <alignment horizontal="center"/>
    </xf>
    <xf borderId="0" fillId="0" fontId="0" numFmtId="11" xfId="0" applyAlignment="1" applyFont="1" applyNumberFormat="1">
      <alignment horizontal="righ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Relationship Id="rId3" Type="http://schemas.openxmlformats.org/officeDocument/2006/relationships/image" Target="../media/image4.png"/><Relationship Id="rId4" Type="http://schemas.openxmlformats.org/officeDocument/2006/relationships/image" Target="../media/image3.png"/><Relationship Id="rId5" Type="http://schemas.openxmlformats.org/officeDocument/2006/relationships/image" Target="../media/image5.png"/><Relationship Id="rId6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1</xdr:col>
      <xdr:colOff>171450</xdr:colOff>
      <xdr:row>100</xdr:row>
      <xdr:rowOff>19050</xdr:rowOff>
    </xdr:from>
    <xdr:ext cx="8515350" cy="569595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132</xdr:row>
      <xdr:rowOff>0</xdr:rowOff>
    </xdr:from>
    <xdr:ext cx="9648825" cy="4581525"/>
    <xdr:pic>
      <xdr:nvPicPr>
        <xdr:cNvPr id="0" name="image2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157</xdr:row>
      <xdr:rowOff>0</xdr:rowOff>
    </xdr:from>
    <xdr:ext cx="5200650" cy="6477000"/>
    <xdr:pic>
      <xdr:nvPicPr>
        <xdr:cNvPr id="0" name="image4.pn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157</xdr:row>
      <xdr:rowOff>0</xdr:rowOff>
    </xdr:from>
    <xdr:ext cx="7677150" cy="5848350"/>
    <xdr:pic>
      <xdr:nvPicPr>
        <xdr:cNvPr id="0" name="image3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191</xdr:row>
      <xdr:rowOff>0</xdr:rowOff>
    </xdr:from>
    <xdr:ext cx="9391650" cy="4067175"/>
    <xdr:pic>
      <xdr:nvPicPr>
        <xdr:cNvPr id="0" name="image5.png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514350</xdr:colOff>
      <xdr:row>1</xdr:row>
      <xdr:rowOff>9525</xdr:rowOff>
    </xdr:from>
    <xdr:ext cx="3914775" cy="2809875"/>
    <xdr:pic>
      <xdr:nvPicPr>
        <xdr:cNvPr id="0" name="image6.png" title="Image"/>
        <xdr:cNvPicPr preferRelativeResize="0"/>
      </xdr:nvPicPr>
      <xdr:blipFill>
        <a:blip cstate="print" r:embed="rId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9.0"/>
    <col customWidth="1" min="2" max="2" width="23.78"/>
    <col customWidth="1" min="3" max="3" width="59.33"/>
    <col customWidth="1" min="4" max="4" width="15.44"/>
    <col customWidth="1" min="5" max="5" width="13.78"/>
    <col customWidth="1" min="6" max="6" width="15.0"/>
    <col customWidth="1" min="7" max="7" width="13.33"/>
    <col customWidth="1" min="8" max="8" width="15.11"/>
    <col customWidth="1" min="9" max="26" width="10.56"/>
  </cols>
  <sheetData>
    <row r="4">
      <c r="B4" s="1" t="s">
        <v>0</v>
      </c>
      <c r="D4" s="2" t="s">
        <v>1</v>
      </c>
      <c r="F4" s="3" t="s">
        <v>2</v>
      </c>
    </row>
    <row r="5">
      <c r="B5" t="s">
        <v>3</v>
      </c>
      <c r="D5" s="4" t="s">
        <v>4</v>
      </c>
      <c r="F5" s="3" t="s">
        <v>2</v>
      </c>
    </row>
    <row r="6">
      <c r="D6" s="3"/>
      <c r="F6" s="3"/>
    </row>
    <row r="7">
      <c r="B7" t="s">
        <v>5</v>
      </c>
      <c r="D7" s="3"/>
      <c r="F7" s="3"/>
    </row>
    <row r="8">
      <c r="B8" t="s">
        <v>6</v>
      </c>
      <c r="D8" s="3"/>
      <c r="F8" s="3"/>
    </row>
    <row r="9">
      <c r="B9" t="s">
        <v>7</v>
      </c>
    </row>
    <row r="10">
      <c r="B10" s="5" t="s">
        <v>8</v>
      </c>
    </row>
    <row r="11">
      <c r="B11" s="5" t="s">
        <v>9</v>
      </c>
    </row>
    <row r="12">
      <c r="B12" s="5" t="s">
        <v>10</v>
      </c>
    </row>
    <row r="13">
      <c r="B13" s="6"/>
    </row>
    <row r="14">
      <c r="B14" s="6"/>
    </row>
    <row r="15">
      <c r="B15" s="6"/>
    </row>
    <row r="16">
      <c r="B16" s="6"/>
    </row>
    <row r="17">
      <c r="B17" s="7" t="s">
        <v>11</v>
      </c>
      <c r="C17" s="6" t="s">
        <v>12</v>
      </c>
      <c r="D17" s="8">
        <v>4.0</v>
      </c>
      <c r="E17" s="8">
        <v>4.0</v>
      </c>
      <c r="F17" s="8">
        <v>4.0</v>
      </c>
      <c r="G17" s="8">
        <v>4.0</v>
      </c>
      <c r="H17" s="8">
        <v>10.0</v>
      </c>
    </row>
    <row r="18">
      <c r="B18" s="7"/>
      <c r="C18" s="6" t="s">
        <v>13</v>
      </c>
      <c r="D18" s="8">
        <v>1.0</v>
      </c>
      <c r="E18" s="8">
        <v>1.0</v>
      </c>
      <c r="F18" s="8">
        <v>1.0</v>
      </c>
      <c r="G18" s="8">
        <v>1.0</v>
      </c>
      <c r="H18" s="8">
        <v>4.0</v>
      </c>
    </row>
    <row r="19">
      <c r="B19" s="7"/>
      <c r="C19" s="6" t="s">
        <v>14</v>
      </c>
      <c r="D19" s="9">
        <f t="shared" ref="D19:H19" si="1">1.99E-19/D17</f>
        <v>0</v>
      </c>
      <c r="E19" s="9">
        <f t="shared" si="1"/>
        <v>0</v>
      </c>
      <c r="F19" s="9">
        <f t="shared" si="1"/>
        <v>0</v>
      </c>
      <c r="G19" s="9">
        <f t="shared" si="1"/>
        <v>0</v>
      </c>
      <c r="H19" s="9">
        <f t="shared" si="1"/>
        <v>0</v>
      </c>
    </row>
    <row r="20">
      <c r="B20" s="7"/>
    </row>
    <row r="21" ht="15.75" customHeight="1">
      <c r="B21" s="7" t="s">
        <v>15</v>
      </c>
      <c r="C21" s="6" t="s">
        <v>16</v>
      </c>
      <c r="D21" s="2">
        <v>25.0</v>
      </c>
      <c r="E21" s="2">
        <v>25.0</v>
      </c>
      <c r="F21" s="2">
        <v>25.0</v>
      </c>
      <c r="G21" s="2">
        <v>25.0</v>
      </c>
      <c r="H21" s="2">
        <v>25.0</v>
      </c>
    </row>
    <row r="22" ht="15.75" customHeight="1">
      <c r="B22" s="7"/>
      <c r="C22" s="6" t="s">
        <v>17</v>
      </c>
      <c r="D22" s="2">
        <v>1000.0</v>
      </c>
      <c r="E22" s="2">
        <v>1000.0</v>
      </c>
      <c r="F22" s="2">
        <v>1000.0</v>
      </c>
      <c r="G22" s="2">
        <v>1000.0</v>
      </c>
      <c r="H22" s="2">
        <v>1000.0</v>
      </c>
    </row>
    <row r="23" ht="15.75" customHeight="1">
      <c r="B23" s="7"/>
      <c r="C23" s="6" t="s">
        <v>18</v>
      </c>
      <c r="D23" s="2">
        <v>0.7</v>
      </c>
      <c r="E23" s="2">
        <v>0.7</v>
      </c>
      <c r="F23" s="2">
        <v>0.7</v>
      </c>
      <c r="G23" s="2">
        <v>0.7</v>
      </c>
      <c r="H23" s="2">
        <v>0.7</v>
      </c>
    </row>
    <row r="24" ht="15.75" customHeight="1">
      <c r="B24" s="7"/>
      <c r="C24" s="6" t="s">
        <v>19</v>
      </c>
      <c r="D24" s="10">
        <f t="shared" ref="D24:H24" si="2">D23*(119000000/D17^5)/(EXP(14400/(D17*D22))-1)</f>
        <v>2285.159855</v>
      </c>
      <c r="E24" s="10">
        <f t="shared" si="2"/>
        <v>2285.159855</v>
      </c>
      <c r="F24" s="10">
        <f t="shared" si="2"/>
        <v>2285.159855</v>
      </c>
      <c r="G24" s="10">
        <f t="shared" si="2"/>
        <v>2285.159855</v>
      </c>
      <c r="H24" s="10">
        <f t="shared" si="2"/>
        <v>258.6397621</v>
      </c>
    </row>
    <row r="25" ht="15.75" customHeight="1">
      <c r="B25" s="7"/>
      <c r="C25" s="6" t="s">
        <v>20</v>
      </c>
      <c r="D25" s="10">
        <f t="shared" ref="D25:H25" si="3">D21*D24</f>
        <v>57128.99637</v>
      </c>
      <c r="E25" s="10">
        <f t="shared" si="3"/>
        <v>57128.99637</v>
      </c>
      <c r="F25" s="10">
        <f t="shared" si="3"/>
        <v>57128.99637</v>
      </c>
      <c r="G25" s="10">
        <f t="shared" si="3"/>
        <v>57128.99637</v>
      </c>
      <c r="H25" s="10">
        <f t="shared" si="3"/>
        <v>6465.994053</v>
      </c>
    </row>
    <row r="26" ht="15.75" customHeight="1">
      <c r="B26" s="7"/>
      <c r="C26" s="6" t="s">
        <v>21</v>
      </c>
      <c r="D26" s="10">
        <f t="shared" ref="D26:H26" si="4">D18*D25</f>
        <v>57128.99637</v>
      </c>
      <c r="E26" s="10">
        <f t="shared" si="4"/>
        <v>57128.99637</v>
      </c>
      <c r="F26" s="10">
        <f t="shared" si="4"/>
        <v>57128.99637</v>
      </c>
      <c r="G26" s="10">
        <f t="shared" si="4"/>
        <v>57128.99637</v>
      </c>
      <c r="H26" s="10">
        <f t="shared" si="4"/>
        <v>25863.97621</v>
      </c>
    </row>
    <row r="27" ht="15.75" customHeight="1">
      <c r="B27" s="7"/>
      <c r="C27" s="7" t="s">
        <v>22</v>
      </c>
      <c r="D27" s="11">
        <f t="shared" ref="D27:H27" si="5">0.000001*0.0000000567*D21*D23*D22^4</f>
        <v>0.99225</v>
      </c>
      <c r="E27" s="11">
        <f t="shared" si="5"/>
        <v>0.99225</v>
      </c>
      <c r="F27" s="11">
        <f t="shared" si="5"/>
        <v>0.99225</v>
      </c>
      <c r="G27" s="11">
        <f t="shared" si="5"/>
        <v>0.99225</v>
      </c>
      <c r="H27" s="11">
        <f t="shared" si="5"/>
        <v>0.99225</v>
      </c>
    </row>
    <row r="28" ht="15.75" customHeight="1">
      <c r="B28" s="7"/>
      <c r="C28" s="6"/>
      <c r="D28" s="12"/>
      <c r="E28" s="12"/>
      <c r="F28" s="12"/>
      <c r="G28" s="12"/>
      <c r="H28" s="12"/>
    </row>
    <row r="29" ht="15.75" customHeight="1">
      <c r="B29" s="7" t="s">
        <v>23</v>
      </c>
      <c r="C29" s="6" t="s">
        <v>24</v>
      </c>
      <c r="D29" s="13">
        <f t="shared" ref="D29:H29" si="6">(119000000/D17^5)/(EXP(14400/(D17*300))-1)</f>
        <v>0.7140290649</v>
      </c>
      <c r="E29" s="13">
        <f t="shared" si="6"/>
        <v>0.7140290649</v>
      </c>
      <c r="F29" s="13">
        <f t="shared" si="6"/>
        <v>0.7140290649</v>
      </c>
      <c r="G29" s="13">
        <f t="shared" si="6"/>
        <v>0.7140290649</v>
      </c>
      <c r="H29" s="13">
        <f t="shared" si="6"/>
        <v>9.874664983</v>
      </c>
    </row>
    <row r="30" ht="15.75" customHeight="1">
      <c r="B30" s="7"/>
      <c r="C30" s="6" t="s">
        <v>25</v>
      </c>
      <c r="D30" s="13">
        <f t="shared" ref="D30:H30" si="7">0.00006*(0.5/3.14)*(119000000/D17^5)/(EXP(14400/(D17*7500))-1)</f>
        <v>1.802210216</v>
      </c>
      <c r="E30" s="13">
        <f t="shared" si="7"/>
        <v>1.802210216</v>
      </c>
      <c r="F30" s="13">
        <f t="shared" si="7"/>
        <v>1.802210216</v>
      </c>
      <c r="G30" s="13">
        <f t="shared" si="7"/>
        <v>1.802210216</v>
      </c>
      <c r="H30" s="13">
        <f t="shared" si="7"/>
        <v>0.05371285012</v>
      </c>
    </row>
    <row r="31" ht="15.75" customHeight="1">
      <c r="B31" s="7"/>
      <c r="C31" s="6"/>
      <c r="D31" s="3"/>
    </row>
    <row r="32" ht="15.75" customHeight="1">
      <c r="B32" s="7" t="s">
        <v>26</v>
      </c>
      <c r="C32" s="6" t="s">
        <v>27</v>
      </c>
      <c r="D32" s="8" t="s">
        <v>28</v>
      </c>
      <c r="E32" s="8" t="s">
        <v>29</v>
      </c>
      <c r="F32" s="8" t="s">
        <v>29</v>
      </c>
      <c r="G32" s="8" t="s">
        <v>30</v>
      </c>
      <c r="H32" s="8" t="s">
        <v>30</v>
      </c>
    </row>
    <row r="33" ht="15.75" customHeight="1">
      <c r="B33" s="7"/>
      <c r="C33" s="6" t="s">
        <v>31</v>
      </c>
      <c r="D33" s="8" t="s">
        <v>32</v>
      </c>
      <c r="E33" s="8" t="s">
        <v>33</v>
      </c>
      <c r="F33" s="8" t="s">
        <v>33</v>
      </c>
      <c r="G33" s="8" t="s">
        <v>33</v>
      </c>
      <c r="H33" s="8" t="s">
        <v>33</v>
      </c>
    </row>
    <row r="34" ht="15.75" customHeight="1">
      <c r="B34" s="7" t="s">
        <v>2</v>
      </c>
      <c r="C34" s="6" t="s">
        <v>34</v>
      </c>
      <c r="D34" s="14">
        <v>35800.0</v>
      </c>
      <c r="E34" s="2">
        <v>500.0</v>
      </c>
      <c r="F34" s="2">
        <v>500.0</v>
      </c>
      <c r="G34" s="2">
        <v>20.0</v>
      </c>
      <c r="H34" s="2">
        <v>20.0</v>
      </c>
    </row>
    <row r="35" ht="15.75" customHeight="1">
      <c r="B35" s="7"/>
      <c r="C35" s="6" t="s">
        <v>35</v>
      </c>
      <c r="D35" s="10">
        <f t="shared" ref="D35:H35" si="8">0.62*D34</f>
        <v>22196</v>
      </c>
      <c r="E35" s="10">
        <f t="shared" si="8"/>
        <v>310</v>
      </c>
      <c r="F35" s="10">
        <f t="shared" si="8"/>
        <v>310</v>
      </c>
      <c r="G35" s="10">
        <f t="shared" si="8"/>
        <v>12.4</v>
      </c>
      <c r="H35" s="10">
        <f t="shared" si="8"/>
        <v>12.4</v>
      </c>
    </row>
    <row r="36" ht="15.75" customHeight="1">
      <c r="B36" s="7"/>
      <c r="C36" s="6" t="s">
        <v>36</v>
      </c>
      <c r="D36" s="2">
        <v>0.0</v>
      </c>
      <c r="E36" s="2">
        <v>6900.0</v>
      </c>
      <c r="F36" s="2">
        <v>6900.0</v>
      </c>
      <c r="G36" s="2">
        <v>140.0</v>
      </c>
      <c r="H36" s="2">
        <v>140.0</v>
      </c>
    </row>
    <row r="37" ht="15.75" customHeight="1">
      <c r="B37" s="7"/>
      <c r="C37" s="6" t="s">
        <v>37</v>
      </c>
      <c r="D37" s="4">
        <f t="shared" ref="D37:H37" si="9">2.2369*D36</f>
        <v>0</v>
      </c>
      <c r="E37" s="10">
        <f t="shared" si="9"/>
        <v>15434.61</v>
      </c>
      <c r="F37" s="10">
        <f t="shared" si="9"/>
        <v>15434.61</v>
      </c>
      <c r="G37" s="10">
        <f t="shared" si="9"/>
        <v>313.166</v>
      </c>
      <c r="H37" s="10">
        <f t="shared" si="9"/>
        <v>313.166</v>
      </c>
    </row>
    <row r="38" ht="15.75" customHeight="1">
      <c r="B38" s="7"/>
      <c r="C38" s="6" t="s">
        <v>38</v>
      </c>
      <c r="D38" s="2" t="s">
        <v>39</v>
      </c>
      <c r="E38" s="2">
        <v>2.0</v>
      </c>
      <c r="F38" s="2">
        <v>2.0</v>
      </c>
      <c r="G38" s="2" t="s">
        <v>40</v>
      </c>
      <c r="H38" s="2" t="s">
        <v>40</v>
      </c>
    </row>
    <row r="39" ht="15.75" customHeight="1">
      <c r="B39" s="7"/>
      <c r="C39" s="6"/>
      <c r="D39" s="3"/>
      <c r="E39" s="3"/>
      <c r="F39" s="3"/>
      <c r="G39" s="3"/>
      <c r="H39" s="3"/>
    </row>
    <row r="40" ht="15.75" customHeight="1">
      <c r="B40" s="7" t="s">
        <v>41</v>
      </c>
      <c r="C40" s="6" t="s">
        <v>42</v>
      </c>
      <c r="D40" s="2">
        <v>0.25</v>
      </c>
      <c r="E40" s="2">
        <v>0.1</v>
      </c>
      <c r="F40" s="2">
        <v>0.1</v>
      </c>
      <c r="G40" s="8">
        <v>0.025</v>
      </c>
      <c r="H40" s="8">
        <v>0.025</v>
      </c>
    </row>
    <row r="41" ht="15.75" customHeight="1">
      <c r="B41" s="7"/>
      <c r="C41" s="7" t="s">
        <v>43</v>
      </c>
      <c r="D41" s="2">
        <v>5.0</v>
      </c>
      <c r="E41" s="2">
        <v>5.0</v>
      </c>
      <c r="F41" s="2">
        <v>6.0</v>
      </c>
      <c r="G41" s="2">
        <v>6.0</v>
      </c>
      <c r="H41" s="2">
        <v>2.5</v>
      </c>
    </row>
    <row r="42" ht="15.75" customHeight="1">
      <c r="B42" s="7"/>
      <c r="C42" s="6" t="s">
        <v>44</v>
      </c>
      <c r="D42" s="2">
        <v>0.5</v>
      </c>
      <c r="E42" s="2">
        <v>0.5</v>
      </c>
      <c r="F42" s="2">
        <v>0.5</v>
      </c>
      <c r="G42" s="2">
        <v>0.5</v>
      </c>
      <c r="H42" s="2">
        <v>0.5</v>
      </c>
    </row>
    <row r="43" ht="15.75" customHeight="1">
      <c r="B43" s="7"/>
      <c r="C43" s="6" t="s">
        <v>45</v>
      </c>
      <c r="D43" s="4">
        <f t="shared" ref="D43:H43" si="10">D17/D40</f>
        <v>16</v>
      </c>
      <c r="E43" s="4">
        <f t="shared" si="10"/>
        <v>40</v>
      </c>
      <c r="F43" s="4">
        <f t="shared" si="10"/>
        <v>40</v>
      </c>
      <c r="G43" s="4">
        <f t="shared" si="10"/>
        <v>160</v>
      </c>
      <c r="H43" s="4">
        <f t="shared" si="10"/>
        <v>400</v>
      </c>
    </row>
    <row r="44" ht="15.75" customHeight="1">
      <c r="B44" s="7"/>
      <c r="C44" s="6" t="s">
        <v>46</v>
      </c>
      <c r="D44" s="4">
        <f t="shared" ref="D44:E44" si="11">D40*D41</f>
        <v>1.25</v>
      </c>
      <c r="E44" s="4">
        <f t="shared" si="11"/>
        <v>0.5</v>
      </c>
      <c r="F44" s="4">
        <v>0.5</v>
      </c>
      <c r="G44" s="4">
        <f t="shared" ref="G44:H44" si="12">G40*G41</f>
        <v>0.15</v>
      </c>
      <c r="H44" s="4">
        <f t="shared" si="12"/>
        <v>0.0625</v>
      </c>
    </row>
    <row r="45" ht="15.75" customHeight="1">
      <c r="B45" s="7"/>
      <c r="C45" s="6" t="s">
        <v>47</v>
      </c>
      <c r="D45" s="4">
        <f t="shared" ref="D45:H45" si="13">D43*D44</f>
        <v>20</v>
      </c>
      <c r="E45" s="4">
        <f t="shared" si="13"/>
        <v>20</v>
      </c>
      <c r="F45" s="4">
        <f t="shared" si="13"/>
        <v>20</v>
      </c>
      <c r="G45" s="4">
        <f t="shared" si="13"/>
        <v>24</v>
      </c>
      <c r="H45" s="4">
        <f t="shared" si="13"/>
        <v>25</v>
      </c>
    </row>
    <row r="46" ht="15.75" customHeight="1">
      <c r="B46" s="7"/>
      <c r="C46" s="6" t="s">
        <v>48</v>
      </c>
      <c r="D46" s="4">
        <f t="shared" ref="D46:H46" si="14">1000/(D17*D41)</f>
        <v>50</v>
      </c>
      <c r="E46" s="10">
        <f t="shared" si="14"/>
        <v>50</v>
      </c>
      <c r="F46" s="10">
        <f t="shared" si="14"/>
        <v>41.66666667</v>
      </c>
      <c r="G46" s="10">
        <f t="shared" si="14"/>
        <v>41.66666667</v>
      </c>
      <c r="H46" s="10">
        <f t="shared" si="14"/>
        <v>40</v>
      </c>
    </row>
    <row r="47" ht="15.75" customHeight="1">
      <c r="B47" s="7"/>
      <c r="C47" s="6" t="s">
        <v>49</v>
      </c>
      <c r="D47" s="10">
        <f t="shared" ref="D47:H47" si="15">1000000*D44/D34</f>
        <v>34.91620112</v>
      </c>
      <c r="E47" s="10">
        <f t="shared" si="15"/>
        <v>1000</v>
      </c>
      <c r="F47" s="10">
        <f t="shared" si="15"/>
        <v>1000</v>
      </c>
      <c r="G47" s="10">
        <f t="shared" si="15"/>
        <v>7500</v>
      </c>
      <c r="H47" s="10">
        <f t="shared" si="15"/>
        <v>3125</v>
      </c>
    </row>
    <row r="48" ht="15.75" customHeight="1">
      <c r="B48" s="7"/>
      <c r="C48" s="6"/>
      <c r="D48" s="3"/>
      <c r="E48" s="3"/>
      <c r="F48" s="3"/>
      <c r="G48" s="3"/>
      <c r="H48" s="3"/>
    </row>
    <row r="49" ht="15.75" customHeight="1">
      <c r="B49" s="7" t="s">
        <v>50</v>
      </c>
      <c r="C49" s="6" t="s">
        <v>51</v>
      </c>
      <c r="D49" s="8" t="s">
        <v>52</v>
      </c>
      <c r="E49" s="8" t="s">
        <v>52</v>
      </c>
      <c r="F49" s="8" t="s">
        <v>53</v>
      </c>
      <c r="G49" s="8" t="s">
        <v>53</v>
      </c>
      <c r="H49" s="8" t="s">
        <v>53</v>
      </c>
    </row>
    <row r="50" ht="15.75" customHeight="1">
      <c r="B50" s="7" t="s">
        <v>2</v>
      </c>
      <c r="C50" s="6" t="s">
        <v>54</v>
      </c>
      <c r="D50" s="2">
        <v>10.0</v>
      </c>
      <c r="E50" s="2">
        <v>10.0</v>
      </c>
      <c r="F50" s="2">
        <v>12.0</v>
      </c>
      <c r="G50" s="2">
        <v>12.0</v>
      </c>
      <c r="H50" s="2">
        <v>12.0</v>
      </c>
    </row>
    <row r="51" ht="15.75" customHeight="1">
      <c r="B51" s="7"/>
      <c r="C51" s="6" t="s">
        <v>55</v>
      </c>
      <c r="D51" s="2">
        <v>2000.0</v>
      </c>
      <c r="E51" s="2">
        <v>2000.0</v>
      </c>
      <c r="F51" s="2">
        <v>1000.0</v>
      </c>
      <c r="G51" s="2">
        <v>1000.0</v>
      </c>
      <c r="H51" s="2">
        <v>1000.0</v>
      </c>
    </row>
    <row r="52" ht="15.75" customHeight="1">
      <c r="B52" s="7"/>
      <c r="C52" s="6" t="s">
        <v>56</v>
      </c>
      <c r="D52" s="2">
        <v>2000.0</v>
      </c>
      <c r="E52" s="2">
        <v>2000.0</v>
      </c>
      <c r="F52" s="2">
        <v>1000.0</v>
      </c>
      <c r="G52" s="2">
        <v>1000.0</v>
      </c>
      <c r="H52" s="2">
        <v>1000.0</v>
      </c>
    </row>
    <row r="53" ht="15.75" customHeight="1">
      <c r="B53" s="7"/>
      <c r="C53" s="6" t="s">
        <v>57</v>
      </c>
      <c r="D53" s="2">
        <v>1.0</v>
      </c>
      <c r="E53" s="2">
        <v>1.0</v>
      </c>
      <c r="F53" s="2">
        <v>60.0</v>
      </c>
      <c r="G53" s="2">
        <v>60.0</v>
      </c>
      <c r="H53" s="2">
        <v>60.0</v>
      </c>
    </row>
    <row r="54" ht="15.75" customHeight="1">
      <c r="B54" s="7"/>
      <c r="C54" s="6" t="s">
        <v>58</v>
      </c>
      <c r="D54" s="15">
        <v>1000000.0</v>
      </c>
      <c r="E54" s="15">
        <v>1000000.0</v>
      </c>
      <c r="F54" s="2" t="s">
        <v>59</v>
      </c>
      <c r="G54" s="2" t="s">
        <v>59</v>
      </c>
      <c r="H54" s="2" t="s">
        <v>59</v>
      </c>
    </row>
    <row r="55" ht="15.75" customHeight="1">
      <c r="B55" s="7"/>
      <c r="C55" s="6" t="s">
        <v>60</v>
      </c>
      <c r="D55" s="2">
        <v>1000.0</v>
      </c>
      <c r="E55" s="2">
        <v>1000.0</v>
      </c>
      <c r="F55" s="2" t="s">
        <v>59</v>
      </c>
      <c r="G55" s="2" t="s">
        <v>59</v>
      </c>
      <c r="H55" s="2" t="s">
        <v>59</v>
      </c>
    </row>
    <row r="56" ht="15.75" customHeight="1">
      <c r="B56" s="7"/>
      <c r="C56" s="6" t="s">
        <v>61</v>
      </c>
      <c r="D56" s="2" t="s">
        <v>59</v>
      </c>
      <c r="E56" s="2" t="s">
        <v>59</v>
      </c>
      <c r="F56" s="15">
        <v>1.5E-9</v>
      </c>
      <c r="G56" s="15">
        <v>1.5E-9</v>
      </c>
      <c r="H56" s="15">
        <v>1.5E-9</v>
      </c>
    </row>
    <row r="57" ht="15.75" customHeight="1">
      <c r="B57" s="7"/>
      <c r="C57" s="6" t="s">
        <v>62</v>
      </c>
      <c r="D57" s="15">
        <v>1.0E-15</v>
      </c>
      <c r="E57" s="15">
        <v>1.0E-15</v>
      </c>
      <c r="F57" s="15">
        <f t="shared" ref="F57:H57" si="16">F56/F53</f>
        <v>0</v>
      </c>
      <c r="G57" s="15">
        <f t="shared" si="16"/>
        <v>0</v>
      </c>
      <c r="H57" s="15">
        <f t="shared" si="16"/>
        <v>0</v>
      </c>
    </row>
    <row r="58" ht="15.75" customHeight="1">
      <c r="A58" s="16"/>
      <c r="B58" s="7"/>
      <c r="C58" s="6" t="s">
        <v>63</v>
      </c>
      <c r="D58" s="15" t="s">
        <v>64</v>
      </c>
      <c r="E58" s="15" t="s">
        <v>64</v>
      </c>
      <c r="F58" s="15">
        <f t="shared" ref="F58:H58" si="17">0.0001*F50*SQRT(F53)/F56</f>
        <v>6196773.354</v>
      </c>
      <c r="G58" s="15">
        <f t="shared" si="17"/>
        <v>6196773.354</v>
      </c>
      <c r="H58" s="15">
        <f t="shared" si="17"/>
        <v>6196773.354</v>
      </c>
    </row>
    <row r="59" ht="15.75" customHeight="1">
      <c r="B59" s="7"/>
      <c r="C59" s="6"/>
      <c r="D59" s="5" t="s">
        <v>65</v>
      </c>
      <c r="E59" s="3"/>
      <c r="F59" s="3"/>
      <c r="G59" s="3"/>
      <c r="H59" s="3"/>
    </row>
    <row r="60" ht="15.75" customHeight="1">
      <c r="B60" s="7"/>
      <c r="C60" s="6"/>
      <c r="D60" s="3"/>
      <c r="E60" s="3"/>
      <c r="F60" s="3"/>
      <c r="G60" s="3"/>
      <c r="H60" s="3"/>
    </row>
    <row r="61" ht="15.75" customHeight="1">
      <c r="B61" s="7" t="s">
        <v>66</v>
      </c>
      <c r="C61" s="6" t="s">
        <v>67</v>
      </c>
      <c r="D61" s="17">
        <f t="shared" ref="D61:H61" si="18">1000*D50/D47</f>
        <v>286.4</v>
      </c>
      <c r="E61" s="17">
        <f t="shared" si="18"/>
        <v>10</v>
      </c>
      <c r="F61" s="18">
        <f t="shared" si="18"/>
        <v>12</v>
      </c>
      <c r="G61" s="11">
        <f t="shared" si="18"/>
        <v>1.6</v>
      </c>
      <c r="H61" s="11">
        <f t="shared" si="18"/>
        <v>3.84</v>
      </c>
    </row>
    <row r="62" ht="15.75" customHeight="1">
      <c r="B62" s="7"/>
      <c r="C62" s="6" t="s">
        <v>68</v>
      </c>
      <c r="D62" s="10">
        <f t="shared" ref="D62:H62" si="19">IF(D21/D61^2&lt;1, 1, D21/D61^2)</f>
        <v>1</v>
      </c>
      <c r="E62" s="10">
        <f t="shared" si="19"/>
        <v>1</v>
      </c>
      <c r="F62" s="10">
        <f t="shared" si="19"/>
        <v>1</v>
      </c>
      <c r="G62" s="17">
        <f t="shared" si="19"/>
        <v>9.765625</v>
      </c>
      <c r="H62" s="17">
        <f t="shared" si="19"/>
        <v>1.695421007</v>
      </c>
    </row>
    <row r="63" ht="15.75" customHeight="1">
      <c r="B63" s="7"/>
      <c r="C63" s="6" t="s">
        <v>69</v>
      </c>
      <c r="D63" s="10">
        <f t="shared" ref="D63:H63" si="20">D51*D61/1000</f>
        <v>572.8</v>
      </c>
      <c r="E63" s="19">
        <f t="shared" si="20"/>
        <v>20</v>
      </c>
      <c r="F63" s="4">
        <f t="shared" si="20"/>
        <v>12</v>
      </c>
      <c r="G63" s="4">
        <f t="shared" si="20"/>
        <v>1.6</v>
      </c>
      <c r="H63" s="4">
        <f t="shared" si="20"/>
        <v>3.84</v>
      </c>
    </row>
    <row r="64" ht="15.75" customHeight="1">
      <c r="B64" s="7"/>
      <c r="C64" s="6" t="s">
        <v>70</v>
      </c>
      <c r="D64" s="4" t="s">
        <v>71</v>
      </c>
      <c r="E64" s="4" t="s">
        <v>72</v>
      </c>
      <c r="F64" s="4" t="s">
        <v>72</v>
      </c>
      <c r="G64" s="4" t="s">
        <v>73</v>
      </c>
      <c r="H64" s="4" t="s">
        <v>73</v>
      </c>
    </row>
    <row r="65" ht="15.75" customHeight="1">
      <c r="B65" s="7" t="s">
        <v>2</v>
      </c>
      <c r="C65" s="7" t="s">
        <v>74</v>
      </c>
      <c r="D65" s="20">
        <f t="shared" ref="D65:H65" si="21">D17*D41/D50</f>
        <v>2</v>
      </c>
      <c r="E65" s="20">
        <f t="shared" si="21"/>
        <v>2</v>
      </c>
      <c r="F65" s="20">
        <f t="shared" si="21"/>
        <v>2</v>
      </c>
      <c r="G65" s="20">
        <f t="shared" si="21"/>
        <v>2</v>
      </c>
      <c r="H65" s="20">
        <f t="shared" si="21"/>
        <v>2.083333333</v>
      </c>
    </row>
    <row r="66" ht="15.75" customHeight="1">
      <c r="B66" s="7"/>
      <c r="C66" s="6" t="s">
        <v>2</v>
      </c>
      <c r="D66" s="21" t="s">
        <v>75</v>
      </c>
      <c r="E66" s="4"/>
      <c r="F66" s="4"/>
      <c r="G66" s="4"/>
      <c r="H66" s="4"/>
    </row>
    <row r="67" ht="15.75" customHeight="1">
      <c r="B67" s="7" t="s">
        <v>76</v>
      </c>
      <c r="C67" s="6" t="s">
        <v>77</v>
      </c>
      <c r="D67" s="9">
        <f t="shared" ref="D67:H67" si="22">D26*(3.14/4)*0.000001*(D40/D34)^2*D42*IF(D61^2&gt;D21, 1, D61^2/D21)</f>
        <v>0</v>
      </c>
      <c r="E67" s="9">
        <f t="shared" si="22"/>
        <v>0.000000000896925243</v>
      </c>
      <c r="F67" s="9">
        <f t="shared" si="22"/>
        <v>0.000000000896925243</v>
      </c>
      <c r="G67" s="9">
        <f t="shared" si="22"/>
        <v>0.000000003587700972</v>
      </c>
      <c r="H67" s="9">
        <f t="shared" si="22"/>
        <v>0.000000009355724388</v>
      </c>
    </row>
    <row r="68" ht="15.75" customHeight="1">
      <c r="B68" s="7" t="s">
        <v>76</v>
      </c>
      <c r="C68" s="6" t="s">
        <v>78</v>
      </c>
      <c r="D68" s="9">
        <f t="shared" ref="D68:H68" si="23">(D29+D30)*(0.000001*D50)^2*(3.14/4)*(1/D41)^2*D18*D42</f>
        <v>0</v>
      </c>
      <c r="E68" s="9">
        <f t="shared" si="23"/>
        <v>0</v>
      </c>
      <c r="F68" s="9">
        <f t="shared" si="23"/>
        <v>0</v>
      </c>
      <c r="G68" s="9">
        <f t="shared" si="23"/>
        <v>0</v>
      </c>
      <c r="H68" s="9">
        <f t="shared" si="23"/>
        <v>0.0000000003591372257</v>
      </c>
    </row>
    <row r="69" ht="15.75" customHeight="1">
      <c r="B69" s="7" t="s">
        <v>76</v>
      </c>
      <c r="C69" s="6" t="s">
        <v>79</v>
      </c>
      <c r="D69" s="9">
        <f t="shared" ref="D69:H69" si="24">(D67+D68)/D19</f>
        <v>101386414</v>
      </c>
      <c r="E69" s="9">
        <f t="shared" si="24"/>
        <v>18108055048</v>
      </c>
      <c r="F69" s="9">
        <f t="shared" si="24"/>
        <v>18108055048</v>
      </c>
      <c r="G69" s="9">
        <f t="shared" si="24"/>
        <v>72193999349</v>
      </c>
      <c r="H69" s="9">
        <f t="shared" si="24"/>
        <v>488184000666</v>
      </c>
    </row>
    <row r="70" ht="15.75" customHeight="1">
      <c r="B70" s="7" t="s">
        <v>76</v>
      </c>
      <c r="C70" s="6" t="s">
        <v>80</v>
      </c>
      <c r="D70" s="9">
        <f t="shared" ref="D70:E70" si="25">D54/D69</f>
        <v>0.009863254456</v>
      </c>
      <c r="E70" s="9">
        <f t="shared" si="25"/>
        <v>0.00005522404241</v>
      </c>
      <c r="F70" s="9" t="s">
        <v>59</v>
      </c>
      <c r="G70" s="9" t="s">
        <v>59</v>
      </c>
      <c r="H70" s="9" t="s">
        <v>59</v>
      </c>
    </row>
    <row r="71" ht="15.75" customHeight="1">
      <c r="B71" s="7" t="s">
        <v>81</v>
      </c>
      <c r="C71" s="6" t="s">
        <v>82</v>
      </c>
      <c r="D71" s="9" t="s">
        <v>59</v>
      </c>
      <c r="E71" s="9">
        <f t="shared" ref="E71:H71" si="26">0.5*E61/E36</f>
        <v>0.0007246376812</v>
      </c>
      <c r="F71" s="9">
        <f t="shared" si="26"/>
        <v>0.0008695652174</v>
      </c>
      <c r="G71" s="9">
        <f t="shared" si="26"/>
        <v>0.005714285714</v>
      </c>
      <c r="H71" s="9">
        <f t="shared" si="26"/>
        <v>0.01371428571</v>
      </c>
    </row>
    <row r="72" ht="15.75" customHeight="1">
      <c r="B72" s="7" t="s">
        <v>83</v>
      </c>
      <c r="C72" s="7" t="s">
        <v>84</v>
      </c>
      <c r="D72" s="22">
        <f>D70</f>
        <v>0.009863254456</v>
      </c>
      <c r="E72" s="22">
        <f>IF(E70&lt;E71, E70, E71)</f>
        <v>0.00005522404241</v>
      </c>
      <c r="F72" s="22">
        <f t="shared" ref="F72:H72" si="27">F71</f>
        <v>0.0008695652174</v>
      </c>
      <c r="G72" s="22">
        <f t="shared" si="27"/>
        <v>0.005714285714</v>
      </c>
      <c r="H72" s="22">
        <f t="shared" si="27"/>
        <v>0.01371428571</v>
      </c>
    </row>
    <row r="73" ht="15.75" customHeight="1">
      <c r="B73" s="7"/>
      <c r="C73" s="7" t="s">
        <v>85</v>
      </c>
      <c r="D73" s="22" t="s">
        <v>86</v>
      </c>
      <c r="E73" s="22" t="s">
        <v>86</v>
      </c>
      <c r="F73" s="22" t="s">
        <v>87</v>
      </c>
      <c r="G73" s="22" t="s">
        <v>87</v>
      </c>
      <c r="H73" s="22" t="s">
        <v>87</v>
      </c>
    </row>
    <row r="74" ht="15.75" customHeight="1">
      <c r="B74" s="7" t="s">
        <v>2</v>
      </c>
      <c r="C74" s="6" t="s">
        <v>88</v>
      </c>
      <c r="D74" s="9">
        <f t="shared" ref="D74:H74" si="28">D67*D72</f>
        <v>0</v>
      </c>
      <c r="E74" s="9">
        <f t="shared" si="28"/>
        <v>0</v>
      </c>
      <c r="F74" s="9">
        <f t="shared" si="28"/>
        <v>0</v>
      </c>
      <c r="G74" s="9">
        <f t="shared" si="28"/>
        <v>0</v>
      </c>
      <c r="H74" s="9">
        <f t="shared" si="28"/>
        <v>0.0000000001283070773</v>
      </c>
    </row>
    <row r="75" ht="15.75" customHeight="1">
      <c r="B75" s="7"/>
      <c r="C75" s="6" t="s">
        <v>89</v>
      </c>
      <c r="D75" s="9">
        <f t="shared" ref="D75:H75" si="29">D74/D19</f>
        <v>216789.0648</v>
      </c>
      <c r="E75" s="9">
        <f t="shared" si="29"/>
        <v>995614.8273</v>
      </c>
      <c r="F75" s="9">
        <f t="shared" si="29"/>
        <v>15677085.3</v>
      </c>
      <c r="G75" s="9">
        <f t="shared" si="29"/>
        <v>412083385.1</v>
      </c>
      <c r="H75" s="9">
        <f t="shared" si="29"/>
        <v>6447591825</v>
      </c>
    </row>
    <row r="76" ht="15.75" customHeight="1">
      <c r="B76" s="7"/>
      <c r="C76" s="6" t="s">
        <v>90</v>
      </c>
      <c r="D76" s="9">
        <f t="shared" ref="D76:H76" si="30">D68*D72</f>
        <v>0</v>
      </c>
      <c r="E76" s="9">
        <f t="shared" si="30"/>
        <v>0</v>
      </c>
      <c r="F76" s="9">
        <f t="shared" si="30"/>
        <v>0</v>
      </c>
      <c r="G76" s="9">
        <f t="shared" si="30"/>
        <v>0</v>
      </c>
      <c r="H76" s="9">
        <f t="shared" si="30"/>
        <v>0</v>
      </c>
    </row>
    <row r="77" ht="15.75" customHeight="1">
      <c r="B77" s="7"/>
      <c r="C77" s="6" t="s">
        <v>91</v>
      </c>
      <c r="D77" s="9">
        <f t="shared" ref="D77:H77" si="31">D76/D19</f>
        <v>783210.9352</v>
      </c>
      <c r="E77" s="9">
        <f t="shared" si="31"/>
        <v>4385.172672</v>
      </c>
      <c r="F77" s="9">
        <f t="shared" si="31"/>
        <v>69049.52013</v>
      </c>
      <c r="G77" s="9">
        <f t="shared" si="31"/>
        <v>453753.9894</v>
      </c>
      <c r="H77" s="9">
        <f t="shared" si="31"/>
        <v>247503041.4</v>
      </c>
    </row>
    <row r="78" ht="15.75" customHeight="1">
      <c r="B78" s="7"/>
      <c r="C78" s="6" t="s">
        <v>92</v>
      </c>
      <c r="D78" s="9">
        <f t="shared" ref="D78:H78" si="32">SQRT(D77)</f>
        <v>884.9920537</v>
      </c>
      <c r="E78" s="9">
        <f t="shared" si="32"/>
        <v>66.2206363</v>
      </c>
      <c r="F78" s="9">
        <f t="shared" si="32"/>
        <v>262.7727538</v>
      </c>
      <c r="G78" s="9">
        <f t="shared" si="32"/>
        <v>673.6126405</v>
      </c>
      <c r="H78" s="9">
        <f t="shared" si="32"/>
        <v>15732.22938</v>
      </c>
    </row>
    <row r="79" ht="15.75" customHeight="1">
      <c r="B79" s="7"/>
      <c r="C79" s="6" t="s">
        <v>93</v>
      </c>
      <c r="D79" s="9">
        <f t="shared" ref="D79:H79" si="33">SQRT(D57^2+(D78*D19)^2)</f>
        <v>0</v>
      </c>
      <c r="E79" s="9">
        <f t="shared" si="33"/>
        <v>0</v>
      </c>
      <c r="F79" s="9">
        <f t="shared" si="33"/>
        <v>0</v>
      </c>
      <c r="G79" s="9">
        <f t="shared" si="33"/>
        <v>0</v>
      </c>
      <c r="H79" s="9">
        <f t="shared" si="33"/>
        <v>0</v>
      </c>
    </row>
    <row r="80" ht="15.75" customHeight="1">
      <c r="B80" s="7"/>
      <c r="C80" s="6" t="s">
        <v>94</v>
      </c>
      <c r="D80" s="10">
        <f t="shared" ref="D80:H80" si="34">D74/D79</f>
        <v>10.77481756</v>
      </c>
      <c r="E80" s="10">
        <f t="shared" si="34"/>
        <v>49.53156886</v>
      </c>
      <c r="F80" s="23">
        <f t="shared" si="34"/>
        <v>0.03119739976</v>
      </c>
      <c r="G80" s="13">
        <f t="shared" si="34"/>
        <v>0.8200459364</v>
      </c>
      <c r="H80" s="13">
        <f t="shared" si="34"/>
        <v>5.132283092</v>
      </c>
    </row>
    <row r="81" ht="15.75" customHeight="1">
      <c r="B81" s="7"/>
      <c r="C81" s="6" t="s">
        <v>95</v>
      </c>
      <c r="D81" s="17">
        <f t="shared" ref="D81:H81" si="35">D74*SQRT(D62)/D79</f>
        <v>10.77481756</v>
      </c>
      <c r="E81" s="17">
        <f t="shared" si="35"/>
        <v>49.53156886</v>
      </c>
      <c r="F81" s="24">
        <f t="shared" si="35"/>
        <v>0.03119739976</v>
      </c>
      <c r="G81" s="20">
        <f t="shared" si="35"/>
        <v>2.562643551</v>
      </c>
      <c r="H81" s="20">
        <f t="shared" si="35"/>
        <v>6.682660276</v>
      </c>
    </row>
    <row r="82" ht="15.75" customHeight="1">
      <c r="B82" s="7"/>
      <c r="C82" s="6" t="s">
        <v>96</v>
      </c>
      <c r="D82" s="14">
        <v>10.0</v>
      </c>
      <c r="E82" s="14">
        <v>1.0</v>
      </c>
      <c r="F82" s="14">
        <v>100.0</v>
      </c>
      <c r="G82" s="14">
        <v>100.0</v>
      </c>
      <c r="H82" s="14">
        <v>100.0</v>
      </c>
    </row>
    <row r="83" ht="15.75" customHeight="1">
      <c r="B83" s="7" t="s">
        <v>97</v>
      </c>
      <c r="C83" s="6" t="s">
        <v>98</v>
      </c>
      <c r="D83" s="17">
        <f t="shared" ref="D83:H83" si="36">D81*SQRT(D82)</f>
        <v>34.07296487</v>
      </c>
      <c r="E83" s="17">
        <f t="shared" si="36"/>
        <v>49.53156886</v>
      </c>
      <c r="F83" s="25">
        <f t="shared" si="36"/>
        <v>0.3119739976</v>
      </c>
      <c r="G83" s="17">
        <f t="shared" si="36"/>
        <v>25.62643551</v>
      </c>
      <c r="H83" s="17">
        <f t="shared" si="36"/>
        <v>66.82660276</v>
      </c>
    </row>
    <row r="84" ht="15.75" customHeight="1">
      <c r="B84" s="6"/>
      <c r="C84" s="6"/>
      <c r="D84" s="3"/>
      <c r="E84" s="3"/>
    </row>
    <row r="85" ht="15.75" customHeight="1">
      <c r="C85" s="6"/>
      <c r="E85" s="5"/>
    </row>
    <row r="86" ht="15.75" customHeight="1">
      <c r="C86" s="6"/>
    </row>
    <row r="87" ht="15.75" customHeight="1">
      <c r="B87" s="6" t="s">
        <v>99</v>
      </c>
      <c r="C87" s="6" t="s">
        <v>100</v>
      </c>
      <c r="D87" s="26">
        <v>0.7</v>
      </c>
      <c r="E87" s="6" t="s">
        <v>101</v>
      </c>
      <c r="F87" s="26">
        <f>F30</f>
        <v>1.802210216</v>
      </c>
    </row>
    <row r="88" ht="15.75" customHeight="1">
      <c r="B88" s="6"/>
      <c r="C88" s="6" t="s">
        <v>102</v>
      </c>
      <c r="D88" s="3">
        <f>(3.14/4)/D41^2</f>
        <v>0.0314</v>
      </c>
      <c r="E88" s="6" t="s">
        <v>103</v>
      </c>
      <c r="F88" s="27">
        <f>(3.14/4)/F41^2</f>
        <v>0.02180555556</v>
      </c>
    </row>
    <row r="89" ht="15.75" customHeight="1">
      <c r="B89" s="6"/>
      <c r="C89" s="6" t="s">
        <v>104</v>
      </c>
      <c r="D89" s="3">
        <f>D88</f>
        <v>0.0314</v>
      </c>
      <c r="E89" s="6"/>
      <c r="F89" s="3">
        <v>0.0</v>
      </c>
    </row>
    <row r="90" ht="15.75" customHeight="1">
      <c r="B90" s="6"/>
      <c r="C90" s="6" t="s">
        <v>105</v>
      </c>
      <c r="D90" s="12">
        <f>1E-12*D50^2</f>
        <v>0.0000000001</v>
      </c>
      <c r="E90" s="6"/>
      <c r="F90" s="12">
        <f>1E-12*F50^2</f>
        <v>0.000000000144</v>
      </c>
    </row>
    <row r="91" ht="15.75" customHeight="1">
      <c r="B91" s="6"/>
      <c r="C91" s="6" t="s">
        <v>106</v>
      </c>
      <c r="D91" s="12">
        <f>D87*(D88+D89)*D90</f>
        <v>0</v>
      </c>
      <c r="E91" s="6"/>
      <c r="F91" s="12">
        <f>F87*(F88+F89)*F90</f>
        <v>0</v>
      </c>
    </row>
    <row r="92" ht="15.75" customHeight="1">
      <c r="B92" s="6"/>
      <c r="C92" s="6" t="s">
        <v>107</v>
      </c>
      <c r="D92" s="3">
        <v>0.003</v>
      </c>
      <c r="E92" s="6"/>
      <c r="F92" s="3">
        <v>0.006</v>
      </c>
    </row>
    <row r="93" ht="15.75" customHeight="1">
      <c r="B93" s="6"/>
      <c r="C93" s="6" t="s">
        <v>108</v>
      </c>
      <c r="D93" s="12">
        <f>D91*D92</f>
        <v>0</v>
      </c>
      <c r="E93" s="6"/>
      <c r="F93" s="12">
        <f>F91*F92</f>
        <v>0</v>
      </c>
    </row>
    <row r="94" ht="15.75" customHeight="1">
      <c r="B94" s="6"/>
      <c r="C94" s="6" t="s">
        <v>109</v>
      </c>
      <c r="D94" s="28">
        <f>D93/D19</f>
        <v>265085.4271</v>
      </c>
      <c r="E94" s="6"/>
      <c r="F94" s="28">
        <f>F93/F19</f>
        <v>682485.2354</v>
      </c>
    </row>
    <row r="95" ht="15.75" customHeight="1">
      <c r="B95" s="6"/>
      <c r="C95" s="6" t="s">
        <v>110</v>
      </c>
      <c r="D95" s="28">
        <f>SQRT(D94)</f>
        <v>514.8644745</v>
      </c>
      <c r="E95" s="6"/>
      <c r="F95" s="28">
        <f>SQRT(F94)</f>
        <v>826.1266461</v>
      </c>
    </row>
    <row r="96" ht="15.75" customHeight="1">
      <c r="B96" s="6"/>
      <c r="C96" s="6" t="s">
        <v>111</v>
      </c>
      <c r="D96" s="12">
        <f>D95*D19</f>
        <v>0</v>
      </c>
      <c r="E96" s="29"/>
      <c r="F96" s="12">
        <f>F95*F19</f>
        <v>0</v>
      </c>
    </row>
    <row r="97" ht="15.75" customHeight="1">
      <c r="B97" s="6"/>
      <c r="C97" s="6" t="s">
        <v>112</v>
      </c>
      <c r="D97" s="12">
        <v>0.0</v>
      </c>
      <c r="E97" s="29"/>
      <c r="F97" s="12">
        <f>F57</f>
        <v>0</v>
      </c>
    </row>
    <row r="98" ht="15.75" customHeight="1">
      <c r="B98" s="6"/>
      <c r="C98" s="6" t="s">
        <v>113</v>
      </c>
      <c r="D98" s="12">
        <f>D96+D97</f>
        <v>0</v>
      </c>
      <c r="E98" s="29"/>
      <c r="F98" s="12">
        <f>F96+F97</f>
        <v>0</v>
      </c>
    </row>
    <row r="99" ht="15.75" customHeight="1">
      <c r="B99" s="6"/>
      <c r="C99" s="6"/>
      <c r="D99" s="3"/>
      <c r="E99" s="6"/>
      <c r="F99" s="3"/>
    </row>
    <row r="100" ht="15.75" customHeight="1">
      <c r="B100" s="6"/>
    </row>
    <row r="101" ht="15.75" customHeight="1">
      <c r="B101" s="6"/>
    </row>
    <row r="102" ht="15.75" customHeight="1">
      <c r="B102" s="6"/>
    </row>
    <row r="103" ht="15.75" customHeight="1">
      <c r="B103" s="6"/>
    </row>
    <row r="104" ht="15.75" customHeight="1">
      <c r="B104" s="6"/>
    </row>
    <row r="105" ht="15.75" customHeight="1">
      <c r="B105" s="6"/>
    </row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1.0" footer="0.0" header="0.0" left="0.75" right="0.75" top="1.0"/>
  <pageSetup orientation="portrait"/>
  <drawing r:id="rId1"/>
</worksheet>
</file>